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194008e1b44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puestos" sheetId="1" r:id="R6a9f22c616c3411a"/>
    <x:sheet xmlns:r="http://schemas.openxmlformats.org/officeDocument/2006/relationships" name="Proyección" sheetId="2" r:id="Re56a4d109a204db3"/>
    <x:sheet xmlns:r="http://schemas.openxmlformats.org/officeDocument/2006/relationships" name="Panel" sheetId="3" r:id="Rf69facfc35444cb8"/>
    <x:sheet xmlns:r="http://schemas.openxmlformats.org/officeDocument/2006/relationships" name="Guía" sheetId="4" r:id="R60914d0c55bf402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;[Red](#,##0.00);–"/>
    <x:numFmt numFmtId="201" formatCode="0.0%;[Red](0.0%);–"/>
    <x:numFmt numFmtId="202" formatCode="mmm"/>
    <x:numFmt numFmtId="203" formatCode="0.00"/>
  </x:numFmts>
  <x:fonts count="9">
    <x:font>
      <x:sz val="11"/>
      <x:name val="Carlito"/>
    </x:font>
    <x:font>
      <x:b/>
      <x:sz val="19"/>
      <x:color rgb="FFFFFFFF"/>
      <x:name val="Carlito"/>
    </x:font>
    <x:font>
      <x:sz val="10"/>
      <x:color rgb="FF1F6588"/>
      <x:name val="Carlito"/>
    </x:font>
    <x:font>
      <x:sz val="10"/>
      <x:color rgb="FF0000FF"/>
      <x:name val="Carlito"/>
    </x:font>
    <x:font>
      <x:b/>
      <x:sz val="10"/>
      <x:color rgb="FFFFFFFF"/>
      <x:name val="Carlito"/>
    </x:font>
    <x:font>
      <x:b/>
      <x:sz val="11"/>
      <x:color rgb="FF153F53"/>
      <x:name val="Carlito"/>
    </x:font>
    <x:font>
      <x:sz val="11"/>
      <x:color rgb="FF1F6588"/>
      <x:name val="Carlito"/>
    </x:font>
    <x:font>
      <x:b/>
      <x:sz val="11"/>
      <x:color rgb="FF143A51"/>
      <x:name val="Carlito"/>
    </x:font>
    <x:font>
      <x:b/>
      <x:sz val="11"/>
      <x:color rgb="FF705338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43A51"/>
      </x:patternFill>
    </x:fill>
    <x:fill>
      <x:patternFill patternType="solid">
        <x:fgColor rgb="FFE9F4F6"/>
      </x:patternFill>
    </x:fill>
    <x:fill>
      <x:patternFill patternType="solid">
        <x:fgColor rgb="FFEDF3FF"/>
      </x:patternFill>
    </x:fill>
    <x:fill>
      <x:patternFill patternType="solid">
        <x:fgColor rgb="FF1F6588"/>
      </x:patternFill>
    </x:fill>
    <x:fill>
      <x:patternFill patternType="solid">
        <x:fgColor rgb="FFFFF1DD"/>
      </x:patternFill>
    </x:fill>
    <x:fill>
      <x:patternFill patternType="solid">
        <x:fgColor rgb="FFF3F8FA"/>
      </x:patternFill>
    </x:fill>
  </x:fills>
  <x:borders count="2">
    <x:border/>
    <x:border/>
  </x:borders>
  <x:cellStyleXfs count="1">
    <x:xf numFmtId="0" fontId="0" fillId="0" borderId="0"/>
  </x:cellStyleXfs>
  <x:cellXfs count="5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200" fontId="3" fillId="4" borderId="0" xfId="0" applyNumberFormat="1" applyFont="1" applyFill="1" applyBorder="1"/>
    <x:xf numFmtId="200" fontId="3" fillId="4" borderId="1" xfId="0" applyNumberFormat="1" applyFont="1" applyFill="1" applyBorder="1"/>
    <x:xf numFmtId="201" fontId="3" fillId="4" borderId="0" xfId="0" applyNumberFormat="1" applyFont="1" applyFill="1" applyBorder="1"/>
    <x:xf numFmtId="201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vertical="center"/>
    </x:xf>
    <x:xf numFmtId="202" fontId="4" fillId="5" borderId="0" xfId="0" applyNumberFormat="1" applyFont="1" applyFill="1" applyBorder="1" applyAlignment="1">
      <x:alignment vertical="center"/>
    </x:xf>
    <x:xf numFmtId="202" fontId="4" fillId="5" borderId="1" xfId="0" applyNumberFormat="1" applyFont="1" applyFill="1" applyBorder="1" applyAlignment="1">
      <x:alignment vertical="center"/>
    </x:xf>
    <x:xf numFmtId="203" fontId="3" fillId="4" borderId="0" xfId="0" applyNumberFormat="1" applyFont="1" applyFill="1" applyBorder="1"/>
    <x:xf numFmtId="203" fontId="3" fillId="4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0" fillId="6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3" borderId="0" xfId="0" applyNumberFormat="1" applyFont="1" applyFill="1" applyBorder="1"/>
    <x:xf numFmtId="0" fontId="5" fillId="3" borderId="0" xfId="0" applyNumberFormat="1" applyFont="1" applyFill="1" applyBorder="1"/>
    <x:xf numFmtId="200" fontId="5" fillId="3" borderId="0" xfId="0" applyNumberFormat="1" applyFont="1" applyFill="1" applyBorder="1"/>
    <x:xf numFmtId="200" fontId="0" fillId="3" borderId="1" xfId="0" applyNumberFormat="1" applyFont="1" applyFill="1" applyBorder="1"/>
    <x:xf numFmtId="0" fontId="5" fillId="3" borderId="1" xfId="0" applyNumberFormat="1" applyFont="1" applyFill="1" applyBorder="1"/>
    <x:xf numFmtId="200" fontId="5" fillId="3" borderId="1" xfId="0" applyNumberFormat="1" applyFont="1" applyFill="1" applyBorder="1"/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200" fontId="0" fillId="7" borderId="0" xfId="0" applyNumberFormat="1" applyFont="1" applyFill="1" applyBorder="1"/>
    <x:xf numFmtId="200" fontId="0" fillId="7" borderId="1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7" fillId="7" borderId="0" xfId="0" applyNumberFormat="1" applyFont="1" applyFill="1" applyBorder="1"/>
    <x:xf numFmtId="0" fontId="7" fillId="7" borderId="1" xfId="0" applyNumberFormat="1" applyFont="1" applyFill="1" applyBorder="1"/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ill>
        <x:patternFill patternType="solid">
          <x:bgColor rgb="FFFFF1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132d51d8de4bfb" /><Relationship Type="http://schemas.openxmlformats.org/officeDocument/2006/relationships/theme" Target="/xl/theme/theme1.xml" Id="R59763d25613443d5" /><Relationship Type="http://schemas.openxmlformats.org/officeDocument/2006/relationships/sharedStrings" Target="/xl/sharedStrings.xml" Id="R6576619c55094c2c" /><Relationship Type="http://schemas.openxmlformats.org/officeDocument/2006/relationships/worksheet" Target="/xl/worksheets/sheet1.xml" Id="R6a9f22c616c3411a" /><Relationship Type="http://schemas.openxmlformats.org/officeDocument/2006/relationships/worksheet" Target="/xl/worksheets/sheet2.xml" Id="Re56a4d109a204db3" /><Relationship Type="http://schemas.openxmlformats.org/officeDocument/2006/relationships/worksheet" Target="/xl/worksheets/sheet3.xml" Id="Rf69facfc35444cb8" /><Relationship Type="http://schemas.openxmlformats.org/officeDocument/2006/relationships/worksheet" Target="/xl/worksheets/sheet4.xml" Id="R60914d0c55bf402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c51a59604d64c10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Evolución del saldo de caja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SALDO PROYECTADO</c:v>
          </c:tx>
          <c:marker>
            <c:symbol val="none"/>
          </c:marker>
          <c:cat>
            <c:strRef>
              <c:f>'Panel'!$B$20:$B$31</c:f>
              <c:strCache>
                <c:ptCount val="0"/>
              </c:strCache>
            </c:strRef>
          </c:cat>
          <c:val>
            <c:numRef>
              <c:f>'Panel'!$C$20:$C$31</c:f>
              <c:numCache>
                <c:formatCode>#,##0.00;[Red](#,##0.00);–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17</xdr:row>
      <xdr:rowOff>0</xdr:rowOff>
    </xdr:from>
    <xdr:to>
      <xdr:col>13</xdr:col>
      <xdr:colOff>0</xdr:colOff>
      <xdr:row>35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c51a59604d64c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df9fd4794e774d53" /></Relationships>
</file>

<file path=xl/worksheets/sheet1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</x:cols>
  <x:sheetData>
    <x:row r="1" ht="27" customHeight="1">
      <x:c r="A1" s="4" t="str">
        <x:v>PLAN DE TESORERÍA | 12 MESES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27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</x:row>
    <x:row r="3" ht="24" customHeight="1">
      <x:c r="A3" s="10" t="str">
        <x:v>Modifica las hipótesis azules: cobros, pagos, tasas y estacionalidad. No confundir previsión con hecho.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</x:row>
    <x:row r="5" ht="21" customHeight="1">
      <x:c r="A5" t="str">
        <x:v>Año inicial</x:v>
      </x:c>
      <x:c r="B5" s="15" t="n">
        <x:v>2026</x:v>
      </x:c>
    </x:row>
    <x:row r="6" ht="21" customHeight="1">
      <x:c r="A6" t="str">
        <x:v>Saldo inicial de caja</x:v>
      </x:c>
      <x:c r="B6" s="18" t="n">
        <x:v>9000</x:v>
      </x:c>
    </x:row>
    <x:row r="8" ht="21" customHeight="1">
      <x:c r="A8" t="str">
        <x:v>Cobros del primer mes</x:v>
      </x:c>
      <x:c r="B8" s="18" t="n">
        <x:v>6200</x:v>
      </x:c>
    </x:row>
    <x:row r="9" ht="21" customHeight="1">
      <x:c r="A9" t="str">
        <x:v>Pagos del primer mes</x:v>
      </x:c>
      <x:c r="B9" s="18" t="n">
        <x:v>4800</x:v>
      </x:c>
    </x:row>
    <x:row r="10" ht="21" customHeight="1">
      <x:c r="A10" t="str">
        <x:v>Crecimiento mensual de cobros</x:v>
      </x:c>
      <x:c r="B10" s="20" t="n">
        <x:v>0.02</x:v>
      </x:c>
    </x:row>
    <x:row r="11" ht="21" customHeight="1">
      <x:c r="A11" t="str">
        <x:v>Crecimiento mensual de pagos</x:v>
      </x:c>
      <x:c r="B11" s="20" t="n">
        <x:v>0.012</x:v>
      </x:c>
    </x:row>
    <x:row r="12" ht="21" customHeight="1">
      <x:c r="A12" t="str">
        <x:v>Saldo mínimo de seguridad</x:v>
      </x:c>
      <x:c r="B12" s="18" t="n">
        <x:v>4000</x:v>
      </x:c>
    </x:row>
    <x:row r="15" ht="30" customHeight="1">
      <x:c r="A15" s="24" t="str">
        <x:v>HIPÓTESIS / MES</x:v>
      </x:c>
      <x:c r="B15" s="28" t="n">
        <x:f>DATE($B$5,1,1)</x:f>
        <x:v>46023</x:v>
      </x:c>
      <x:c r="C15" s="28" t="n">
        <x:f>DATE($B$5,2,1)</x:f>
        <x:v>46054</x:v>
      </x:c>
      <x:c r="D15" s="28" t="n">
        <x:f>DATE($B$5,3,1)</x:f>
        <x:v>46082</x:v>
      </x:c>
      <x:c r="E15" s="28" t="n">
        <x:f>DATE($B$5,4,1)</x:f>
        <x:v>46113</x:v>
      </x:c>
      <x:c r="F15" s="28" t="n">
        <x:f>DATE($B$5,5,1)</x:f>
        <x:v>46143</x:v>
      </x:c>
      <x:c r="G15" s="28" t="n">
        <x:f>DATE($B$5,6,1)</x:f>
        <x:v>46174</x:v>
      </x:c>
      <x:c r="H15" s="28" t="n">
        <x:f>DATE($B$5,7,1)</x:f>
        <x:v>46204</x:v>
      </x:c>
      <x:c r="I15" s="28" t="n">
        <x:f>DATE($B$5,8,1)</x:f>
        <x:v>46235</x:v>
      </x:c>
      <x:c r="J15" s="28" t="n">
        <x:f>DATE($B$5,9,1)</x:f>
        <x:v>46266</x:v>
      </x:c>
      <x:c r="K15" s="28" t="n">
        <x:f>DATE($B$5,10,1)</x:f>
        <x:v>46296</x:v>
      </x:c>
      <x:c r="L15" s="28" t="n">
        <x:f>DATE($B$5,11,1)</x:f>
        <x:v>46327</x:v>
      </x:c>
      <x:c r="M15" s="28" t="n">
        <x:f>DATE($B$5,12,1)</x:f>
        <x:v>46357</x:v>
      </x:c>
    </x:row>
    <x:row r="16" ht="21" customHeight="1">
      <x:c r="A16" t="str">
        <x:v>Factor estacional (1 = normal)</x:v>
      </x:c>
      <x:c r="B16" s="30" t="n">
        <x:v>0.92</x:v>
      </x:c>
      <x:c r="C16" s="30" t="n">
        <x:v>0.96</x:v>
      </x:c>
      <x:c r="D16" s="30" t="n">
        <x:v>1.03</x:v>
      </x:c>
      <x:c r="E16" s="30" t="n">
        <x:v>1.05</x:v>
      </x:c>
      <x:c r="F16" s="30" t="n">
        <x:v>1.06</x:v>
      </x:c>
      <x:c r="G16" s="30" t="n">
        <x:v>1.01</x:v>
      </x:c>
      <x:c r="H16" s="30" t="n">
        <x:v>0.96</x:v>
      </x:c>
      <x:c r="I16" s="30" t="n">
        <x:v>1.03</x:v>
      </x:c>
      <x:c r="J16" s="30" t="n">
        <x:v>1.09</x:v>
      </x:c>
      <x:c r="K16" s="30" t="n">
        <x:v>1.13</x:v>
      </x:c>
      <x:c r="L16" s="30" t="n">
        <x:v>1.21</x:v>
      </x:c>
      <x:c r="M16" s="30" t="n">
        <x:v>1.32</x:v>
      </x:c>
    </x:row>
    <x:row r="17" ht="21" customHeight="1">
      <x:c r="A17" t="str">
        <x:v>Cobros extraordinarios</x:v>
      </x:c>
      <x:c r="B17" s="18" t="n">
        <x:v>0</x:v>
      </x:c>
      <x:c r="C17" s="18" t="n">
        <x:v>0</x:v>
      </x:c>
      <x:c r="D17" s="18" t="n">
        <x:v>600</x:v>
      </x:c>
      <x:c r="E17" s="18" t="n">
        <x:v>0</x:v>
      </x:c>
      <x:c r="F17" s="18" t="n">
        <x:v>0</x:v>
      </x:c>
      <x:c r="G17" s="18" t="n">
        <x:v>0</x:v>
      </x:c>
      <x:c r="H17" s="18" t="n">
        <x:v>900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1500</x:v>
      </x:c>
    </x:row>
    <x:row r="18" ht="21" customHeight="1">
      <x:c r="A18" t="str">
        <x:v>Pagos extraordinarios</x:v>
      </x:c>
      <x:c r="B18" s="18" t="n">
        <x:v>0</x:v>
      </x:c>
      <x:c r="C18" s="18" t="n">
        <x:v>700</x:v>
      </x:c>
      <x:c r="D18" s="18" t="n">
        <x:v>0</x:v>
      </x:c>
      <x:c r="E18" s="18" t="n">
        <x:v>0</x:v>
      </x:c>
      <x:c r="F18" s="18" t="n">
        <x:v>1000</x:v>
      </x:c>
      <x:c r="G18" s="18" t="n">
        <x:v>0</x:v>
      </x:c>
      <x:c r="H18" s="18" t="n">
        <x:v>0</x:v>
      </x:c>
      <x:c r="I18" s="18" t="n">
        <x:v>500</x:v>
      </x:c>
      <x:c r="J18" s="18" t="n">
        <x:v>0</x:v>
      </x:c>
      <x:c r="K18" s="18" t="n">
        <x:v>900</x:v>
      </x:c>
      <x:c r="L18" s="18" t="n">
        <x:v>0</x:v>
      </x:c>
      <x:c r="M18" s="18" t="n">
        <x:v>2200</x:v>
      </x:c>
    </x:row>
    <x:row r="21">
      <x:c r="A21" s="33" t="str">
        <x:v>HIPÓTESIS FICTICIAS. El factor estacional multiplica los cobros habituales del mes; 1,20 implica +20 % y 0,90 implica −10 %. Los cobros y pagos extraordinarios se suman aparte.</x:v>
      </x:c>
      <x:c r="B21" s="33"/>
      <x:c r="C21" s="33"/>
      <x:c r="D21" s="33"/>
      <x:c r="E21" s="33"/>
      <x:c r="F21" s="33"/>
      <x:c r="G21" s="33"/>
      <x:c r="H21" s="33"/>
      <x:c r="I21" s="33"/>
      <x:c r="J21" s="33"/>
      <x:c r="K21" s="33"/>
      <x:c r="L21" s="33"/>
      <x:c r="M21" s="33"/>
    </x:row>
    <x:row r="22">
      <x:c r="A22" s="33"/>
      <x:c r="B22" s="33"/>
      <x:c r="C22" s="33"/>
      <x:c r="D22" s="33"/>
      <x:c r="E22" s="33"/>
      <x:c r="F22" s="33"/>
      <x:c r="G22" s="33"/>
      <x:c r="H22" s="33"/>
      <x:c r="I22" s="33"/>
      <x:c r="J22" s="33"/>
      <x:c r="K22" s="33"/>
      <x:c r="L22" s="33"/>
      <x:c r="M22" s="33"/>
    </x:row>
    <x:row r="23">
      <x:c r="A23" s="33"/>
      <x:c r="B23" s="33"/>
      <x:c r="C23" s="33"/>
      <x:c r="D23" s="33"/>
      <x:c r="E23" s="33"/>
      <x:c r="F23" s="33"/>
      <x:c r="G23" s="33"/>
      <x:c r="H23" s="33"/>
      <x:c r="I23" s="33"/>
      <x:c r="J23" s="33"/>
      <x:c r="K23" s="33"/>
      <x:c r="L23" s="33"/>
      <x:c r="M23" s="33"/>
    </x:row>
  </x:sheetData>
  <x:mergeCells>
    <x:mergeCell ref="A1:M2"/>
    <x:mergeCell ref="A3:M3"/>
    <x:mergeCell ref="A21:M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</x:cols>
  <x:sheetData>
    <x:row r="1" ht="27" customHeight="1">
      <x:c r="A1" s="4" t="str">
        <x:v>PROYECCIÓN ANUAL | CAJA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27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</x:row>
    <x:row r="3" ht="24" customHeight="1">
      <x:c r="A3" s="10" t="str">
        <x:v>Modelo basado en supuestos editables: cambia las hipótesis para simular escenarios.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</x:row>
    <x:row r="8" ht="30" customHeight="1">
      <x:c r="A8" s="24" t="str">
        <x:v>CONCEPTO / MES</x:v>
      </x:c>
      <x:c r="B8" s="28" t="n">
        <x:f>DATE(Supuestos!$B$5,1,1)</x:f>
        <x:v>46023</x:v>
      </x:c>
      <x:c r="C8" s="28" t="n">
        <x:f>DATE(Supuestos!$B$5,2,1)</x:f>
        <x:v>46054</x:v>
      </x:c>
      <x:c r="D8" s="28" t="n">
        <x:f>DATE(Supuestos!$B$5,3,1)</x:f>
        <x:v>46082</x:v>
      </x:c>
      <x:c r="E8" s="28" t="n">
        <x:f>DATE(Supuestos!$B$5,4,1)</x:f>
        <x:v>46113</x:v>
      </x:c>
      <x:c r="F8" s="28" t="n">
        <x:f>DATE(Supuestos!$B$5,5,1)</x:f>
        <x:v>46143</x:v>
      </x:c>
      <x:c r="G8" s="28" t="n">
        <x:f>DATE(Supuestos!$B$5,6,1)</x:f>
        <x:v>46174</x:v>
      </x:c>
      <x:c r="H8" s="28" t="n">
        <x:f>DATE(Supuestos!$B$5,7,1)</x:f>
        <x:v>46204</x:v>
      </x:c>
      <x:c r="I8" s="28" t="n">
        <x:f>DATE(Supuestos!$B$5,8,1)</x:f>
        <x:v>46235</x:v>
      </x:c>
      <x:c r="J8" s="28" t="n">
        <x:f>DATE(Supuestos!$B$5,9,1)</x:f>
        <x:v>46266</x:v>
      </x:c>
      <x:c r="K8" s="28" t="n">
        <x:f>DATE(Supuestos!$B$5,10,1)</x:f>
        <x:v>46296</x:v>
      </x:c>
      <x:c r="L8" s="28" t="n">
        <x:f>DATE(Supuestos!$B$5,11,1)</x:f>
        <x:v>46327</x:v>
      </x:c>
      <x:c r="M8" s="28" t="n">
        <x:f>DATE(Supuestos!$B$5,12,1)</x:f>
        <x:v>46357</x:v>
      </x:c>
    </x:row>
    <x:row r="10">
      <x:c r="A10" t="str">
        <x:v>Cobros ordinarios</x:v>
      </x:c>
      <x:c r="B10" s="36" t="n">
        <x:f>Supuestos!$B$8*(1+Supuestos!$B$10)^0</x:f>
        <x:v>6200</x:v>
      </x:c>
      <x:c r="C10" s="36" t="n">
        <x:f>Supuestos!$B$8*(1+Supuestos!$B$10)^1</x:f>
        <x:v>6324</x:v>
      </x:c>
      <x:c r="D10" s="36" t="n">
        <x:f>Supuestos!$B$8*(1+Supuestos!$B$10)^2</x:f>
        <x:v>6450.48</x:v>
      </x:c>
      <x:c r="E10" s="36" t="n">
        <x:f>Supuestos!$B$8*(1+Supuestos!$B$10)^3</x:f>
        <x:v>6579.4896</x:v>
      </x:c>
      <x:c r="F10" s="36" t="n">
        <x:f>Supuestos!$B$8*(1+Supuestos!$B$10)^4</x:f>
        <x:v>6711.079392</x:v>
      </x:c>
      <x:c r="G10" s="36" t="n">
        <x:f>Supuestos!$B$8*(1+Supuestos!$B$10)^5</x:f>
        <x:v>6845.30097984</x:v>
      </x:c>
      <x:c r="H10" s="36" t="n">
        <x:f>Supuestos!$B$8*(1+Supuestos!$B$10)^6</x:f>
        <x:v>6982.2069994368</x:v>
      </x:c>
      <x:c r="I10" s="36" t="n">
        <x:f>Supuestos!$B$8*(1+Supuestos!$B$10)^7</x:f>
        <x:v>7121.851139425535</x:v>
      </x:c>
      <x:c r="J10" s="36" t="n">
        <x:f>Supuestos!$B$8*(1+Supuestos!$B$10)^8</x:f>
        <x:v>7264.288162214047</x:v>
      </x:c>
      <x:c r="K10" s="36" t="n">
        <x:f>Supuestos!$B$8*(1+Supuestos!$B$10)^9</x:f>
        <x:v>7409.573925458327</x:v>
      </x:c>
      <x:c r="L10" s="36" t="n">
        <x:f>Supuestos!$B$8*(1+Supuestos!$B$10)^10</x:f>
        <x:v>7557.765403967494</x:v>
      </x:c>
      <x:c r="M10" s="36" t="n">
        <x:f>Supuestos!$B$8*(1+Supuestos!$B$10)^11</x:f>
        <x:v>7708.920712046843</x:v>
      </x:c>
    </x:row>
    <x:row r="11">
      <x:c r="A11" t="str">
        <x:v>Ajuste estacional</x:v>
      </x:c>
      <x:c r="B11" s="36" t="n">
        <x:f>B10*(Supuestos!B16-1)</x:f>
        <x:v>-495.9999999999998</x:v>
      </x:c>
      <x:c r="C11" s="36" t="n">
        <x:f>C10*(Supuestos!C16-1)</x:f>
        <x:v>-252.96000000000024</x:v>
      </x:c>
      <x:c r="D11" s="36" t="n">
        <x:f>D10*(Supuestos!D16-1)</x:f>
        <x:v>193.51440000000017</x:v>
      </x:c>
      <x:c r="E11" s="36" t="n">
        <x:f>E10*(Supuestos!E16-1)</x:f>
        <x:v>328.9744800000003</x:v>
      </x:c>
      <x:c r="F11" s="36" t="n">
        <x:f>F10*(Supuestos!F16-1)</x:f>
        <x:v>402.66476352000035</x:v>
      </x:c>
      <x:c r="G11" s="36" t="n">
        <x:f>G10*(Supuestos!G16-1)</x:f>
        <x:v>68.45300979840006</x:v>
      </x:c>
      <x:c r="H11" s="36" t="n">
        <x:f>H10*(Supuestos!H16-1)</x:f>
        <x:v>-279.28827997747226</x:v>
      </x:c>
      <x:c r="I11" s="36" t="n">
        <x:f>I10*(Supuestos!I16-1)</x:f>
        <x:v>213.65553418276622</x:v>
      </x:c>
      <x:c r="J11" s="36" t="n">
        <x:f>J10*(Supuestos!J16-1)</x:f>
        <x:v>653.7859345992648</x:v>
      </x:c>
      <x:c r="K11" s="36" t="n">
        <x:f>K10*(Supuestos!K16-1)</x:f>
        <x:v>963.2446103095817</x:v>
      </x:c>
      <x:c r="L11" s="36" t="n">
        <x:f>L10*(Supuestos!L16-1)</x:f>
        <x:v>1587.1307348331736</x:v>
      </x:c>
      <x:c r="M11" s="36" t="n">
        <x:f>M10*(Supuestos!M16-1)</x:f>
        <x:v>2466.85462785499</x:v>
      </x:c>
    </x:row>
    <x:row r="12">
      <x:c r="A12" t="str">
        <x:v>Cobros extraordinarios</x:v>
      </x:c>
      <x:c r="B12" s="36" t="n">
        <x:f>Supuestos!B17</x:f>
        <x:v>0</x:v>
      </x:c>
      <x:c r="C12" s="36" t="n">
        <x:f>Supuestos!C17</x:f>
        <x:v>0</x:v>
      </x:c>
      <x:c r="D12" s="36" t="n">
        <x:f>Supuestos!D17</x:f>
        <x:v>600</x:v>
      </x:c>
      <x:c r="E12" s="36" t="n">
        <x:f>Supuestos!E17</x:f>
        <x:v>0</x:v>
      </x:c>
      <x:c r="F12" s="36" t="n">
        <x:f>Supuestos!F17</x:f>
        <x:v>0</x:v>
      </x:c>
      <x:c r="G12" s="36" t="n">
        <x:f>Supuestos!G17</x:f>
        <x:v>0</x:v>
      </x:c>
      <x:c r="H12" s="36" t="n">
        <x:f>Supuestos!H17</x:f>
        <x:v>900</x:v>
      </x:c>
      <x:c r="I12" s="36" t="n">
        <x:f>Supuestos!I17</x:f>
        <x:v>0</x:v>
      </x:c>
      <x:c r="J12" s="36" t="n">
        <x:f>Supuestos!J17</x:f>
        <x:v>0</x:v>
      </x:c>
      <x:c r="K12" s="36" t="n">
        <x:f>Supuestos!K17</x:f>
        <x:v>0</x:v>
      </x:c>
      <x:c r="L12" s="36" t="n">
        <x:f>Supuestos!L17</x:f>
        <x:v>0</x:v>
      </x:c>
      <x:c r="M12" s="36" t="n">
        <x:f>Supuestos!M17</x:f>
        <x:v>1500</x:v>
      </x:c>
    </x:row>
    <x:row r="13" ht="24" customHeight="1">
      <x:c r="A13" s="39" t="str">
        <x:v>Total de entradas</x:v>
      </x:c>
      <x:c r="B13" s="40" t="n">
        <x:f>SUM(B10:B12)</x:f>
        <x:v>5704</x:v>
      </x:c>
      <x:c r="C13" s="40" t="n">
        <x:f>SUM(C10:C12)</x:f>
        <x:v>6071.04</x:v>
      </x:c>
      <x:c r="D13" s="40" t="n">
        <x:f>SUM(D10:D12)</x:f>
        <x:v>7243.9944</x:v>
      </x:c>
      <x:c r="E13" s="40" t="n">
        <x:f>SUM(E10:E12)</x:f>
        <x:v>6908.46408</x:v>
      </x:c>
      <x:c r="F13" s="40" t="n">
        <x:f>SUM(F10:F12)</x:f>
        <x:v>7113.74415552</x:v>
      </x:c>
      <x:c r="G13" s="40" t="n">
        <x:f>SUM(G10:G12)</x:f>
        <x:v>6913.7539896384</x:v>
      </x:c>
      <x:c r="H13" s="40" t="n">
        <x:f>SUM(H10:H12)</x:f>
        <x:v>7602.918719459328</x:v>
      </x:c>
      <x:c r="I13" s="40" t="n">
        <x:f>SUM(I10:I12)</x:f>
        <x:v>7335.506673608301</x:v>
      </x:c>
      <x:c r="J13" s="40" t="n">
        <x:f>SUM(J10:J12)</x:f>
        <x:v>7918.074096813311</x:v>
      </x:c>
      <x:c r="K13" s="40" t="n">
        <x:f>SUM(K10:K12)</x:f>
        <x:v>8372.818535767909</x:v>
      </x:c>
      <x:c r="L13" s="40" t="n">
        <x:f>SUM(L10:L12)</x:f>
        <x:v>9144.896138800668</x:v>
      </x:c>
      <x:c r="M13" s="40" t="n">
        <x:f>SUM(M10:M12)</x:f>
        <x:v>11675.775339901833</x:v>
      </x:c>
    </x:row>
    <x:row r="14">
      <x:c r="B14" s="36"/>
      <x:c r="C14" s="36"/>
      <x:c r="D14" s="36"/>
      <x:c r="E14" s="36"/>
      <x:c r="F14" s="36"/>
      <x:c r="G14" s="36"/>
      <x:c r="H14" s="36"/>
      <x:c r="I14" s="36"/>
      <x:c r="J14" s="36"/>
      <x:c r="K14" s="36"/>
      <x:c r="L14" s="36"/>
      <x:c r="M14" s="36"/>
    </x:row>
    <x:row r="15">
      <x:c r="A15" t="str">
        <x:v>Pagos ordinarios</x:v>
      </x:c>
      <x:c r="B15" s="36" t="n">
        <x:f>Supuestos!$B$9*(1+Supuestos!$B$11)^0</x:f>
        <x:v>4800</x:v>
      </x:c>
      <x:c r="C15" s="36" t="n">
        <x:f>Supuestos!$B$9*(1+Supuestos!$B$11)^1</x:f>
        <x:v>4857.6</x:v>
      </x:c>
      <x:c r="D15" s="36" t="n">
        <x:f>Supuestos!$B$9*(1+Supuestos!$B$11)^2</x:f>
        <x:v>4915.8912</x:v>
      </x:c>
      <x:c r="E15" s="36" t="n">
        <x:f>Supuestos!$B$9*(1+Supuestos!$B$11)^3</x:f>
        <x:v>4974.8818944</x:v>
      </x:c>
      <x:c r="F15" s="36" t="n">
        <x:f>Supuestos!$B$9*(1+Supuestos!$B$11)^4</x:f>
        <x:v>5034.580477132799</x:v>
      </x:c>
      <x:c r="G15" s="36" t="n">
        <x:f>Supuestos!$B$9*(1+Supuestos!$B$11)^5</x:f>
        <x:v>5094.995442858393</x:v>
      </x:c>
      <x:c r="H15" s="36" t="n">
        <x:f>Supuestos!$B$9*(1+Supuestos!$B$11)^6</x:f>
        <x:v>5156.135388172694</x:v>
      </x:c>
      <x:c r="I15" s="36" t="n">
        <x:f>Supuestos!$B$9*(1+Supuestos!$B$11)^7</x:f>
        <x:v>5218.009012830767</x:v>
      </x:c>
      <x:c r="J15" s="36" t="n">
        <x:f>Supuestos!$B$9*(1+Supuestos!$B$11)^8</x:f>
        <x:v>5280.625120984736</x:v>
      </x:c>
      <x:c r="K15" s="36" t="n">
        <x:f>Supuestos!$B$9*(1+Supuestos!$B$11)^9</x:f>
        <x:v>5343.992622436552</x:v>
      </x:c>
      <x:c r="L15" s="36" t="n">
        <x:f>Supuestos!$B$9*(1+Supuestos!$B$11)^10</x:f>
        <x:v>5408.120533905791</x:v>
      </x:c>
      <x:c r="M15" s="36" t="n">
        <x:f>Supuestos!$B$9*(1+Supuestos!$B$11)^11</x:f>
        <x:v>5473.01798031266</x:v>
      </x:c>
    </x:row>
    <x:row r="16">
      <x:c r="A16" t="str">
        <x:v>Pagos extraordinarios</x:v>
      </x:c>
      <x:c r="B16" s="36" t="n">
        <x:f>Supuestos!B18</x:f>
        <x:v>0</x:v>
      </x:c>
      <x:c r="C16" s="36" t="n">
        <x:f>Supuestos!C18</x:f>
        <x:v>700</x:v>
      </x:c>
      <x:c r="D16" s="36" t="n">
        <x:f>Supuestos!D18</x:f>
        <x:v>0</x:v>
      </x:c>
      <x:c r="E16" s="36" t="n">
        <x:f>Supuestos!E18</x:f>
        <x:v>0</x:v>
      </x:c>
      <x:c r="F16" s="36" t="n">
        <x:f>Supuestos!F18</x:f>
        <x:v>1000</x:v>
      </x:c>
      <x:c r="G16" s="36" t="n">
        <x:f>Supuestos!G18</x:f>
        <x:v>0</x:v>
      </x:c>
      <x:c r="H16" s="36" t="n">
        <x:f>Supuestos!H18</x:f>
        <x:v>0</x:v>
      </x:c>
      <x:c r="I16" s="36" t="n">
        <x:f>Supuestos!I18</x:f>
        <x:v>500</x:v>
      </x:c>
      <x:c r="J16" s="36" t="n">
        <x:f>Supuestos!J18</x:f>
        <x:v>0</x:v>
      </x:c>
      <x:c r="K16" s="36" t="n">
        <x:f>Supuestos!K18</x:f>
        <x:v>900</x:v>
      </x:c>
      <x:c r="L16" s="36" t="n">
        <x:f>Supuestos!L18</x:f>
        <x:v>0</x:v>
      </x:c>
      <x:c r="M16" s="36" t="n">
        <x:f>Supuestos!M18</x:f>
        <x:v>2200</x:v>
      </x:c>
    </x:row>
    <x:row r="17" ht="24" customHeight="1">
      <x:c r="A17" s="39" t="str">
        <x:v>Total de salidas</x:v>
      </x:c>
      <x:c r="B17" s="40" t="n">
        <x:f>SUM(B15:B16)</x:f>
        <x:v>4800</x:v>
      </x:c>
      <x:c r="C17" s="40" t="n">
        <x:f>SUM(C15:C16)</x:f>
        <x:v>5557.6</x:v>
      </x:c>
      <x:c r="D17" s="40" t="n">
        <x:f>SUM(D15:D16)</x:f>
        <x:v>4915.8912</x:v>
      </x:c>
      <x:c r="E17" s="40" t="n">
        <x:f>SUM(E15:E16)</x:f>
        <x:v>4974.8818944</x:v>
      </x:c>
      <x:c r="F17" s="40" t="n">
        <x:f>SUM(F15:F16)</x:f>
        <x:v>6034.580477132799</x:v>
      </x:c>
      <x:c r="G17" s="40" t="n">
        <x:f>SUM(G15:G16)</x:f>
        <x:v>5094.995442858393</x:v>
      </x:c>
      <x:c r="H17" s="40" t="n">
        <x:f>SUM(H15:H16)</x:f>
        <x:v>5156.135388172694</x:v>
      </x:c>
      <x:c r="I17" s="40" t="n">
        <x:f>SUM(I15:I16)</x:f>
        <x:v>5718.009012830767</x:v>
      </x:c>
      <x:c r="J17" s="40" t="n">
        <x:f>SUM(J15:J16)</x:f>
        <x:v>5280.625120984736</x:v>
      </x:c>
      <x:c r="K17" s="40" t="n">
        <x:f>SUM(K15:K16)</x:f>
        <x:v>6243.992622436552</x:v>
      </x:c>
      <x:c r="L17" s="40" t="n">
        <x:f>SUM(L15:L16)</x:f>
        <x:v>5408.120533905791</x:v>
      </x:c>
      <x:c r="M17" s="40" t="n">
        <x:f>SUM(M15:M16)</x:f>
        <x:v>7673.01798031266</x:v>
      </x:c>
    </x:row>
    <x:row r="18">
      <x:c r="B18" s="36"/>
      <x:c r="C18" s="36"/>
      <x:c r="D18" s="36"/>
      <x:c r="E18" s="36"/>
      <x:c r="F18" s="36"/>
      <x:c r="G18" s="36"/>
      <x:c r="H18" s="36"/>
      <x:c r="I18" s="36"/>
      <x:c r="J18" s="36"/>
      <x:c r="K18" s="36"/>
      <x:c r="L18" s="36"/>
      <x:c r="M18" s="36"/>
    </x:row>
    <x:row r="19" ht="24" customHeight="1">
      <x:c r="A19" s="39" t="str">
        <x:v>Flujo neto del mes</x:v>
      </x:c>
      <x:c r="B19" s="40" t="n">
        <x:f>B13-B17</x:f>
        <x:v>904</x:v>
      </x:c>
      <x:c r="C19" s="40" t="n">
        <x:f>C13-C17</x:f>
        <x:v>513.4399999999996</x:v>
      </x:c>
      <x:c r="D19" s="40" t="n">
        <x:f>D13-D17</x:f>
        <x:v>2328.1031999999996</x:v>
      </x:c>
      <x:c r="E19" s="40" t="n">
        <x:f>E13-E17</x:f>
        <x:v>1933.5821855999993</x:v>
      </x:c>
      <x:c r="F19" s="40" t="n">
        <x:f>F13-F17</x:f>
        <x:v>1079.163678387201</x:v>
      </x:c>
      <x:c r="G19" s="40" t="n">
        <x:f>G13-G17</x:f>
        <x:v>1818.7585467800063</x:v>
      </x:c>
      <x:c r="H19" s="40" t="n">
        <x:f>H13-H17</x:f>
        <x:v>2446.783331286634</x:v>
      </x:c>
      <x:c r="I19" s="40" t="n">
        <x:f>I13-I17</x:f>
        <x:v>1617.4976607775343</x:v>
      </x:c>
      <x:c r="J19" s="40" t="n">
        <x:f>J13-J17</x:f>
        <x:v>2637.4489758285754</x:v>
      </x:c>
      <x:c r="K19" s="40" t="n">
        <x:f>K13-K17</x:f>
        <x:v>2128.825913331357</x:v>
      </x:c>
      <x:c r="L19" s="40" t="n">
        <x:f>L13-L17</x:f>
        <x:v>3736.7756048948777</x:v>
      </x:c>
      <x:c r="M19" s="40" t="n">
        <x:f>M13-M17</x:f>
        <x:v>4002.7573595891727</x:v>
      </x:c>
    </x:row>
    <x:row r="20">
      <x:c r="A20" t="str">
        <x:v>Saldo inicial del mes</x:v>
      </x:c>
      <x:c r="B20" s="36" t="n">
        <x:f>Supuestos!$B$6</x:f>
        <x:v>9000</x:v>
      </x:c>
      <x:c r="C20" s="36" t="n">
        <x:f>B21</x:f>
        <x:v>9904</x:v>
      </x:c>
      <x:c r="D20" s="36" t="n">
        <x:f>C21</x:f>
        <x:v>10417.439999999999</x:v>
      </x:c>
      <x:c r="E20" s="36" t="n">
        <x:f>D21</x:f>
        <x:v>12745.543199999998</x:v>
      </x:c>
      <x:c r="F20" s="36" t="n">
        <x:f>E21</x:f>
        <x:v>14679.125385599997</x:v>
      </x:c>
      <x:c r="G20" s="36" t="n">
        <x:f>F21</x:f>
        <x:v>15758.289063987198</x:v>
      </x:c>
      <x:c r="H20" s="36" t="n">
        <x:f>G21</x:f>
        <x:v>17577.047610767204</x:v>
      </x:c>
      <x:c r="I20" s="36" t="n">
        <x:f>H21</x:f>
        <x:v>20023.83094205384</x:v>
      </x:c>
      <x:c r="J20" s="36" t="n">
        <x:f>I21</x:f>
        <x:v>21641.328602831374</x:v>
      </x:c>
      <x:c r="K20" s="36" t="n">
        <x:f>J21</x:f>
        <x:v>24278.77757865995</x:v>
      </x:c>
      <x:c r="L20" s="36" t="n">
        <x:f>K21</x:f>
        <x:v>26407.603491991307</x:v>
      </x:c>
      <x:c r="M20" s="36" t="n">
        <x:f>L21</x:f>
        <x:v>30144.379096886187</x:v>
      </x:c>
    </x:row>
    <x:row r="21" ht="24" customHeight="1">
      <x:c r="A21" s="39" t="str">
        <x:v>Saldo final previsto</x:v>
      </x:c>
      <x:c r="B21" s="40" t="n">
        <x:f>B20+B19</x:f>
        <x:v>9904</x:v>
      </x:c>
      <x:c r="C21" s="40" t="n">
        <x:f>C20+C19</x:f>
        <x:v>10417.439999999999</x:v>
      </x:c>
      <x:c r="D21" s="40" t="n">
        <x:f>D20+D19</x:f>
        <x:v>12745.543199999998</x:v>
      </x:c>
      <x:c r="E21" s="40" t="n">
        <x:f>E20+E19</x:f>
        <x:v>14679.125385599997</x:v>
      </x:c>
      <x:c r="F21" s="40" t="n">
        <x:f>F20+F19</x:f>
        <x:v>15758.289063987198</x:v>
      </x:c>
      <x:c r="G21" s="40" t="n">
        <x:f>G20+G19</x:f>
        <x:v>17577.047610767204</x:v>
      </x:c>
      <x:c r="H21" s="40" t="n">
        <x:f>H20+H19</x:f>
        <x:v>20023.83094205384</x:v>
      </x:c>
      <x:c r="I21" s="40" t="n">
        <x:f>I20+I19</x:f>
        <x:v>21641.328602831374</x:v>
      </x:c>
      <x:c r="J21" s="40" t="n">
        <x:f>J20+J19</x:f>
        <x:v>24278.77757865995</x:v>
      </x:c>
      <x:c r="K21" s="40" t="n">
        <x:f>K20+K19</x:f>
        <x:v>26407.603491991307</x:v>
      </x:c>
      <x:c r="L21" s="40" t="n">
        <x:f>L20+L19</x:f>
        <x:v>30144.379096886187</x:v>
      </x:c>
      <x:c r="M21" s="40" t="n">
        <x:f>M20+M19</x:f>
        <x:v>34147.13645647536</x:v>
      </x:c>
    </x:row>
    <x:row r="22">
      <x:c r="A22" t="str">
        <x:v>Nivel de seguridad</x:v>
      </x:c>
      <x:c r="B22" t="str">
        <x:f>IF(B21&lt;Supuestos!$B$12,"BAJO MÍNIMO","NORMAL")</x:f>
        <x:v>NORMAL</x:v>
      </x:c>
      <x:c r="C22" t="str">
        <x:f>IF(C21&lt;Supuestos!$B$12,"BAJO MÍNIMO","NORMAL")</x:f>
        <x:v>NORMAL</x:v>
      </x:c>
      <x:c r="D22" t="str">
        <x:f>IF(D21&lt;Supuestos!$B$12,"BAJO MÍNIMO","NORMAL")</x:f>
        <x:v>NORMAL</x:v>
      </x:c>
      <x:c r="E22" t="str">
        <x:f>IF(E21&lt;Supuestos!$B$12,"BAJO MÍNIMO","NORMAL")</x:f>
        <x:v>NORMAL</x:v>
      </x:c>
      <x:c r="F22" t="str">
        <x:f>IF(F21&lt;Supuestos!$B$12,"BAJO MÍNIMO","NORMAL")</x:f>
        <x:v>NORMAL</x:v>
      </x:c>
      <x:c r="G22" t="str">
        <x:f>IF(G21&lt;Supuestos!$B$12,"BAJO MÍNIMO","NORMAL")</x:f>
        <x:v>NORMAL</x:v>
      </x:c>
      <x:c r="H22" t="str">
        <x:f>IF(H21&lt;Supuestos!$B$12,"BAJO MÍNIMO","NORMAL")</x:f>
        <x:v>NORMAL</x:v>
      </x:c>
      <x:c r="I22" t="str">
        <x:f>IF(I21&lt;Supuestos!$B$12,"BAJO MÍNIMO","NORMAL")</x:f>
        <x:v>NORMAL</x:v>
      </x:c>
      <x:c r="J22" t="str">
        <x:f>IF(J21&lt;Supuestos!$B$12,"BAJO MÍNIMO","NORMAL")</x:f>
        <x:v>NORMAL</x:v>
      </x:c>
      <x:c r="K22" t="str">
        <x:f>IF(K21&lt;Supuestos!$B$12,"BAJO MÍNIMO","NORMAL")</x:f>
        <x:v>NORMAL</x:v>
      </x:c>
      <x:c r="L22" t="str">
        <x:f>IF(L21&lt;Supuestos!$B$12,"BAJO MÍNIMO","NORMAL")</x:f>
        <x:v>NORMAL</x:v>
      </x:c>
      <x:c r="M22" t="str">
        <x:f>IF(M21&lt;Supuestos!$B$12,"BAJO MÍNIMO","NORMAL")</x:f>
        <x:v>NORMAL</x:v>
      </x:c>
    </x:row>
    <x:row r="25">
      <x:c r="A25" s="33" t="str">
        <x:v>PROYECCIÓN, NO SALDO REAL: se calculan cobros y pagos futuros con las hipótesis de Supuestos, sin garantías ni determinación de impuestos.</x:v>
      </x:c>
      <x:c r="B25" s="33"/>
      <x:c r="C25" s="33"/>
      <x:c r="D25" s="33"/>
      <x:c r="E25" s="33"/>
      <x:c r="F25" s="33"/>
      <x:c r="G25" s="33"/>
      <x:c r="H25" s="33"/>
      <x:c r="I25" s="33"/>
      <x:c r="J25" s="33"/>
      <x:c r="K25" s="33"/>
      <x:c r="L25" s="33"/>
      <x:c r="M25" s="33"/>
    </x:row>
    <x:row r="26">
      <x:c r="A26" s="33"/>
      <x:c r="B26" s="33"/>
      <x:c r="C26" s="33"/>
      <x:c r="D26" s="33"/>
      <x:c r="E26" s="33"/>
      <x:c r="F26" s="33"/>
      <x:c r="G26" s="33"/>
      <x:c r="H26" s="33"/>
      <x:c r="I26" s="33"/>
      <x:c r="J26" s="33"/>
      <x:c r="K26" s="33"/>
      <x:c r="L26" s="33"/>
      <x:c r="M26" s="33"/>
    </x:row>
  </x:sheetData>
  <x:mergeCells>
    <x:mergeCell ref="A1:M2"/>
    <x:mergeCell ref="A3:M3"/>
    <x:mergeCell ref="A25:M26"/>
  </x:mergeCells>
  <x:conditionalFormatting sqref="B21:M21">
    <x:cfRule type="cellIs" dxfId="0" priority="1" operator="lessThan">
      <x:formula>4000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4" hidden="0" customWidth="1"/>
    <x:col min="2" max="2" width="31" hidden="0" customWidth="1"/>
    <x:col min="3" max="3" width="17" hidden="0" customWidth="1"/>
    <x:col min="4" max="4" width="4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  <x:col min="13" max="13" width="11" hidden="0" customWidth="1"/>
  </x:cols>
  <x:sheetData>
    <x:row r="1" ht="27" customHeight="1">
      <x:c r="A1" s="4" t="str">
        <x:v>TESORERÍA | PROYECCIÓN ANUAL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27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</x:row>
    <x:row r="3" ht="24" customHeight="1">
      <x:c r="A3" s="10" t="str">
        <x:v>Simulador prospectivo anual: escenarios de entradas, salidas y liquidez.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</x:row>
    <x:row r="6" ht="30" customHeight="1">
      <x:c r="B6" s="24" t="str">
        <x:v>INDICADOR</x:v>
      </x:c>
      <x:c r="C6" s="24" t="str">
        <x:v>RESULTADO</x:v>
      </x:c>
    </x:row>
    <x:row r="7" ht="25" customHeight="1">
      <x:c r="B7" t="str">
        <x:v>Cobros proyectados (12 meses)</x:v>
      </x:c>
      <x:c r="C7" s="36" t="n">
        <x:f>SUM('Proyección'!B13:M13)</x:f>
        <x:v>92004.98612950975</x:v>
      </x:c>
    </x:row>
    <x:row r="8" ht="25" customHeight="1">
      <x:c r="B8" s="44" t="str">
        <x:v>Pagos proyectados (12 meses)</x:v>
      </x:c>
      <x:c r="C8" s="46" t="n">
        <x:f>SUM('Proyección'!B17:M17)</x:f>
        <x:v>66857.8496730344</x:v>
      </x:c>
    </x:row>
    <x:row r="9" ht="25" customHeight="1">
      <x:c r="B9" t="str">
        <x:v>Flujo neto proyectado</x:v>
      </x:c>
      <x:c r="C9" s="36" t="n">
        <x:f>SUM('Proyección'!B19:M19)</x:f>
        <x:v>25147.13645647536</x:v>
      </x:c>
    </x:row>
    <x:row r="10" ht="25" customHeight="1">
      <x:c r="B10" s="44" t="str">
        <x:v>Saldo al cierre anual</x:v>
      </x:c>
      <x:c r="C10" s="46" t="n">
        <x:f>'Proyección'!M21</x:f>
        <x:v>34147.13645647536</x:v>
      </x:c>
    </x:row>
    <x:row r="11" ht="25" customHeight="1">
      <x:c r="B11" t="str">
        <x:v>Meses bajo saldo mínimo</x:v>
      </x:c>
      <x:c r="C11" s="36" t="n">
        <x:f>COUNTIF('Proyección'!B22:M22,"BAJO MÍNIMO")</x:f>
        <x:v>0</x:v>
      </x:c>
    </x:row>
    <x:row r="12" ht="25" customHeight="1">
      <x:c r="B12" s="44" t="str">
        <x:v>Saldo mínimo previsto</x:v>
      </x:c>
      <x:c r="C12" s="46" t="n">
        <x:f>MIN('Proyección'!B21:M21)</x:f>
        <x:v>9904</x:v>
      </x:c>
    </x:row>
    <x:row r="19" ht="30" customHeight="1">
      <x:c r="B19" s="24" t="str">
        <x:v>PERÍODO</x:v>
      </x:c>
      <x:c r="C19" s="24" t="str">
        <x:v>SALDO PROYECTADO</x:v>
      </x:c>
    </x:row>
    <x:row r="20">
      <x:c r="B20" t="str">
        <x:v>Mes 01</x:v>
      </x:c>
      <x:c r="C20" s="36" t="n">
        <x:f>'Proyección'!B21</x:f>
        <x:v>9904</x:v>
      </x:c>
    </x:row>
    <x:row r="21">
      <x:c r="B21" t="str">
        <x:v>Mes 02</x:v>
      </x:c>
      <x:c r="C21" s="36" t="n">
        <x:f>'Proyección'!C21</x:f>
        <x:v>10417.439999999999</x:v>
      </x:c>
    </x:row>
    <x:row r="22">
      <x:c r="B22" t="str">
        <x:v>Mes 03</x:v>
      </x:c>
      <x:c r="C22" s="36" t="n">
        <x:f>'Proyección'!D21</x:f>
        <x:v>12745.543199999998</x:v>
      </x:c>
    </x:row>
    <x:row r="23">
      <x:c r="B23" t="str">
        <x:v>Mes 04</x:v>
      </x:c>
      <x:c r="C23" s="36" t="n">
        <x:f>'Proyección'!E21</x:f>
        <x:v>14679.125385599997</x:v>
      </x:c>
    </x:row>
    <x:row r="24">
      <x:c r="B24" t="str">
        <x:v>Mes 05</x:v>
      </x:c>
      <x:c r="C24" s="36" t="n">
        <x:f>'Proyección'!F21</x:f>
        <x:v>15758.289063987198</x:v>
      </x:c>
    </x:row>
    <x:row r="25">
      <x:c r="B25" t="str">
        <x:v>Mes 06</x:v>
      </x:c>
      <x:c r="C25" s="36" t="n">
        <x:f>'Proyección'!G21</x:f>
        <x:v>17577.047610767204</x:v>
      </x:c>
    </x:row>
    <x:row r="26">
      <x:c r="B26" t="str">
        <x:v>Mes 07</x:v>
      </x:c>
      <x:c r="C26" s="36" t="n">
        <x:f>'Proyección'!H21</x:f>
        <x:v>20023.83094205384</x:v>
      </x:c>
    </x:row>
    <x:row r="27">
      <x:c r="B27" t="str">
        <x:v>Mes 08</x:v>
      </x:c>
      <x:c r="C27" s="36" t="n">
        <x:f>'Proyección'!I21</x:f>
        <x:v>21641.328602831374</x:v>
      </x:c>
    </x:row>
    <x:row r="28">
      <x:c r="B28" t="str">
        <x:v>Mes 09</x:v>
      </x:c>
      <x:c r="C28" s="36" t="n">
        <x:f>'Proyección'!J21</x:f>
        <x:v>24278.77757865995</x:v>
      </x:c>
    </x:row>
    <x:row r="29">
      <x:c r="B29" t="str">
        <x:v>Mes 10</x:v>
      </x:c>
      <x:c r="C29" s="36" t="n">
        <x:f>'Proyección'!K21</x:f>
        <x:v>26407.603491991307</x:v>
      </x:c>
    </x:row>
    <x:row r="30">
      <x:c r="B30" t="str">
        <x:v>Mes 11</x:v>
      </x:c>
      <x:c r="C30" s="36" t="n">
        <x:f>'Proyección'!L21</x:f>
        <x:v>30144.379096886187</x:v>
      </x:c>
    </x:row>
    <x:row r="31">
      <x:c r="B31" t="str">
        <x:v>Mes 12</x:v>
      </x:c>
      <x:c r="C31" s="36" t="n">
        <x:f>'Proyección'!M21</x:f>
        <x:v>34147.13645647536</x:v>
      </x:c>
    </x:row>
    <x:row r="37" ht="18" customHeight="1">
      <x:c r="B37" s="49" t="str">
        <x:v>La caja mide cobros y pagos efectivos o previstos, no la utilidad contable. Los datos iniciales son demostrativos.</x:v>
      </x:c>
      <x:c r="C37" s="49"/>
      <x:c r="D37" s="49"/>
      <x:c r="E37" s="49"/>
      <x:c r="F37" s="49"/>
      <x:c r="G37" s="49"/>
      <x:c r="H37" s="49"/>
      <x:c r="I37" s="49"/>
      <x:c r="J37" s="49"/>
      <x:c r="K37" s="49"/>
      <x:c r="L37" s="49"/>
      <x:c r="M37" s="49"/>
    </x:row>
    <x:row r="38" ht="18" customHeight="1">
      <x:c r="B38" s="49"/>
      <x:c r="C38" s="49"/>
      <x:c r="D38" s="49"/>
      <x:c r="E38" s="49"/>
      <x:c r="F38" s="49"/>
      <x:c r="G38" s="49"/>
      <x:c r="H38" s="49"/>
      <x:c r="I38" s="49"/>
      <x:c r="J38" s="49"/>
      <x:c r="K38" s="49"/>
      <x:c r="L38" s="49"/>
      <x:c r="M38" s="49"/>
    </x:row>
    <x:row r="39" ht="18" customHeight="1">
      <x:c r="B39" s="49"/>
      <x:c r="C39" s="49"/>
      <x:c r="D39" s="49"/>
      <x:c r="E39" s="49"/>
      <x:c r="F39" s="49"/>
      <x:c r="G39" s="49"/>
      <x:c r="H39" s="49"/>
      <x:c r="I39" s="49"/>
      <x:c r="J39" s="49"/>
      <x:c r="K39" s="49"/>
      <x:c r="L39" s="49"/>
      <x:c r="M39" s="49"/>
    </x:row>
  </x:sheetData>
  <x:mergeCells>
    <x:mergeCell ref="A1:M2"/>
    <x:mergeCell ref="A3:M3"/>
    <x:mergeCell ref="B37:M39"/>
  </x:mergeCells>
  <x:pageMargins left="0.7" right="0.7" top="0.75" bottom="0.75" header="0.3" footer="0.3"/>
  <x:drawing xmlns:r="http://schemas.openxmlformats.org/officeDocument/2006/relationships" r:id="Rdf9fd4794e774d53"/>
</x:worksheet>
</file>

<file path=xl/worksheets/sheet4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39" hidden="0" customWidth="1"/>
    <x:col min="3" max="3" width="79" hidden="0" customWidth="1"/>
  </x:cols>
  <x:sheetData>
    <x:row r="1" ht="27" customHeight="1">
      <x:c r="A1" s="4" t="str">
        <x:v>GUÍA | PROYECCIÓN ANUAL</x:v>
      </x:c>
      <x:c r="B1" s="4"/>
      <x:c r="C1" s="4"/>
      <x:c r="D1" s="4"/>
      <x:c r="E1" s="4"/>
      <x:c r="F1" s="4"/>
      <x:c r="G1" s="4"/>
      <x:c r="H1" s="4"/>
    </x:row>
    <x:row r="2" ht="27" customHeight="1">
      <x:c r="A2" s="4"/>
      <x:c r="B2" s="4"/>
      <x:c r="C2" s="4"/>
      <x:c r="D2" s="4"/>
      <x:c r="E2" s="4"/>
      <x:c r="F2" s="4"/>
      <x:c r="G2" s="4"/>
      <x:c r="H2" s="4"/>
    </x:row>
    <x:row r="3" ht="24" customHeight="1">
      <x:c r="A3" s="10" t="str">
        <x:v>Escenarios y planificación anual · importes iniciales ficticios</x:v>
      </x:c>
      <x:c r="B3" s="10"/>
      <x:c r="C3" s="10"/>
      <x:c r="D3" s="10"/>
      <x:c r="E3" s="10"/>
      <x:c r="F3" s="10"/>
      <x:c r="G3" s="10"/>
      <x:c r="H3" s="10"/>
    </x:row>
    <x:row r="6" ht="30" customHeight="1">
      <x:c r="B6" s="24" t="str">
        <x:v>PASO / NOTA</x:v>
      </x:c>
      <x:c r="C6" s="24" t="str">
        <x:v>INSTRUCCIÓN</x:v>
      </x:c>
    </x:row>
    <x:row r="7" ht="38" customHeight="1">
      <x:c r="B7" s="54" t="str">
        <x:v>01 · Ajusta el año y la caja</x:v>
      </x:c>
      <x:c r="C7" s="52" t="str">
        <x:v>En Supuestos B5 y B6 indica año y dinero disponible al comenzar.</x:v>
      </x:c>
    </x:row>
    <x:row r="8" ht="38" customHeight="1">
      <x:c r="B8" s="54" t="str">
        <x:v>02 · Cobros y pagos base</x:v>
      </x:c>
      <x:c r="C8" s="52" t="str">
        <x:v>En B8 y B9 introduce los importes previsibles en el primer mes.</x:v>
      </x:c>
    </x:row>
    <x:row r="9" ht="38" customHeight="1">
      <x:c r="B9" s="54" t="str">
        <x:v>03 · Crecimiento</x:v>
      </x:c>
      <x:c r="C9" s="52" t="str">
        <x:v>En B10 y B11 introduce variaciones mensuales (2 % = 0,02).</x:v>
      </x:c>
    </x:row>
    <x:row r="10" ht="38" customHeight="1">
      <x:c r="B10" s="54" t="str">
        <x:v>04 · Estacionalidad</x:v>
      </x:c>
      <x:c r="C10" s="52" t="str">
        <x:v>En fila 16, un factor 1 significa normal. 1,20 aumenta los cobros habituales un 20 %.</x:v>
      </x:c>
    </x:row>
    <x:row r="11" ht="38" customHeight="1">
      <x:c r="B11" s="54" t="str">
        <x:v>05 · Extraordinarios</x:v>
      </x:c>
      <x:c r="C11" s="52" t="str">
        <x:v>En filas 17 y 18 anota cobros y pagos no recurrentes para el mes.</x:v>
      </x:c>
    </x:row>
    <x:row r="12" ht="38" customHeight="1">
      <x:c r="B12" s="54" t="str">
        <x:v>06 · Escenario</x:v>
      </x:c>
      <x:c r="C12" s="52" t="str">
        <x:v>Proyección y Panel se recalculan según las hipótesis; no representan transacciones reales.</x:v>
      </x:c>
    </x:row>
    <x:row r="13" ht="38" customHeight="1">
      <x:c r="B13" s="54" t="str">
        <x:v>07 · Riesgo de caja</x:v>
      </x:c>
      <x:c r="C13" s="52" t="str">
        <x:v>En B12 especifica el colchón mínimo. Proyección alerta si el saldo previsto queda por debajo.</x:v>
      </x:c>
    </x:row>
    <x:row r="14" ht="38" customHeight="1">
      <x:c r="B14" s="54" t="str">
        <x:v>08 · Limitación</x:v>
      </x:c>
      <x:c r="C14" s="52" t="str">
        <x:v>No calcula impuestos ni financiación; registra esos pagos previstos en las partidas si aplican.</x:v>
      </x:c>
    </x:row>
    <x:row r="15" ht="38" customHeight="1">
      <x:c r="B15" s="54" t="str">
        <x:v>Fuente de supuestos</x:v>
      </x:c>
      <x:c r="C15" s="52" t="str">
        <x:v>Todos los números iniciales son hipótesis ficticias para demostrar las fórmulas.</x:v>
      </x:c>
    </x:row>
    <x:row r="20" ht="25" customHeight="1">
      <x:c r="B20" s="57" t="str">
        <x:v>DATOS DE DEMOSTRACIÓN: importes y conceptos ficticios; sustituirlos por movimientos propios. No calcula impuestos ni reemplaza asesoría contable.</x:v>
      </x:c>
      <x:c r="C20" s="57"/>
      <x:c r="D20" s="57"/>
      <x:c r="E20" s="57"/>
      <x:c r="F20" s="57"/>
      <x:c r="G20" s="57"/>
      <x:c r="H20" s="57"/>
    </x:row>
    <x:row r="21" ht="25" customHeight="1">
      <x:c r="B21" s="57"/>
      <x:c r="C21" s="57"/>
      <x:c r="D21" s="57"/>
      <x:c r="E21" s="57"/>
      <x:c r="F21" s="57"/>
      <x:c r="G21" s="57"/>
      <x:c r="H21" s="57"/>
    </x:row>
  </x:sheetData>
  <x:mergeCells>
    <x:mergeCell ref="A1:H2"/>
    <x:mergeCell ref="A3:H3"/>
    <x:mergeCell ref="B20:H21"/>
  </x:mergeCells>
  <x:pageMargins left="0.7" right="0.7" top="0.75" bottom="0.75" header="0.3" footer="0.3"/>
</x:worksheet>
</file>